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31"/>
  <workbookPr defaultThemeVersion="166925"/>
  <xr:revisionPtr revIDLastSave="0" documentId="8_{7220ECDB-CD46-4AAE-AF87-C5E5E05A045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NORAIRES MANDAT DE VENTES " sheetId="1" r:id="rId1"/>
    <sheet name="HONORAIRES GESTION" sheetId="5" r:id="rId2"/>
    <sheet name="HONORAIRES LOCATIONS" sheetId="4" r:id="rId3"/>
    <sheet name="HONORAIRES MANDAT RECHERCHE" sheetId="2" r:id="rId4"/>
    <sheet name="HONORAIRES ESTIMATIONS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9" i="5"/>
  <c r="S7" i="1"/>
  <c r="S8" i="1"/>
  <c r="S9" i="1"/>
  <c r="S10" i="1"/>
  <c r="S11" i="1"/>
  <c r="S12" i="1"/>
  <c r="S13" i="1"/>
  <c r="S14" i="1"/>
  <c r="S6" i="1"/>
  <c r="G15" i="1"/>
  <c r="G14" i="1"/>
  <c r="G13" i="1"/>
  <c r="G12" i="1"/>
  <c r="G11" i="1"/>
  <c r="G10" i="1"/>
  <c r="G9" i="1"/>
  <c r="G8" i="1"/>
  <c r="G7" i="1"/>
  <c r="G6" i="1"/>
  <c r="G5" i="1"/>
  <c r="S5" i="1"/>
  <c r="G5" i="5"/>
  <c r="G5" i="2"/>
  <c r="AC14" i="1"/>
  <c r="AD13" i="1"/>
  <c r="AC13" i="1"/>
  <c r="AD12" i="1"/>
  <c r="AC12" i="1"/>
  <c r="AD11" i="1"/>
  <c r="AC11" i="1"/>
  <c r="AC7" i="1"/>
  <c r="AD6" i="1"/>
  <c r="AC6" i="1"/>
  <c r="AD10" i="1"/>
  <c r="AC10" i="1"/>
  <c r="AD9" i="1"/>
  <c r="AC9" i="1"/>
  <c r="AD8" i="1"/>
  <c r="AC8" i="1"/>
  <c r="AD7" i="1"/>
  <c r="X5" i="4"/>
  <c r="X4" i="4"/>
  <c r="X6" i="4"/>
  <c r="X2" i="4"/>
  <c r="W24" i="5"/>
  <c r="X24" i="5"/>
  <c r="W25" i="5"/>
  <c r="X25" i="5"/>
  <c r="W26" i="5"/>
  <c r="G10" i="3"/>
  <c r="G9" i="3"/>
  <c r="G7" i="3"/>
  <c r="G6" i="3"/>
  <c r="BK24" i="1"/>
  <c r="BK23" i="1"/>
  <c r="BJ23" i="1"/>
  <c r="BJ24" i="1"/>
  <c r="BJ22" i="1"/>
  <c r="K45" i="1"/>
  <c r="K15" i="1"/>
  <c r="K13" i="1"/>
  <c r="K14" i="1"/>
  <c r="K16" i="1"/>
  <c r="K11" i="1"/>
  <c r="K9" i="1"/>
  <c r="K8" i="1"/>
  <c r="K6" i="1"/>
  <c r="K7" i="1"/>
  <c r="K10" i="1"/>
  <c r="K12" i="1"/>
  <c r="K5" i="1"/>
</calcChain>
</file>

<file path=xl/sharedStrings.xml><?xml version="1.0" encoding="utf-8"?>
<sst xmlns="http://schemas.openxmlformats.org/spreadsheetml/2006/main" count="108" uniqueCount="67">
  <si>
    <t>BAREME HONORAIRES VENTES / MANDAT EXCLUSIF</t>
  </si>
  <si>
    <t>BAREME HONORAIRES VENTES - MANDAT SEMI EXCLUSIF OU SIMPLE</t>
  </si>
  <si>
    <t>Tarifs applicables à partir du 1er janvier 2023
* T.V.A : 8.5 % - Honoraires à la charge du vendeur sauf stipulations contraires prévues au mandat</t>
  </si>
  <si>
    <t>Particuliers - Maisons - Appartements - Villas - Pavillons</t>
  </si>
  <si>
    <t>Prix de vente</t>
  </si>
  <si>
    <t>HT</t>
  </si>
  <si>
    <t>TTC</t>
  </si>
  <si>
    <t>Jusqu'à 49 999€</t>
  </si>
  <si>
    <t>De 50 000€ à 80 000€</t>
  </si>
  <si>
    <t>De 50 000€ à 100 000€</t>
  </si>
  <si>
    <t>De 80 001€ à 180 000€</t>
  </si>
  <si>
    <t>De 100 001€ à 140 000€</t>
  </si>
  <si>
    <t>De 180 001€ à 230 000€</t>
  </si>
  <si>
    <t>De 140 001€ à 180 000€</t>
  </si>
  <si>
    <t>De 230 001€ à 265 000€</t>
  </si>
  <si>
    <t>De 265 001€ à 300 000€</t>
  </si>
  <si>
    <t>De 300 001€ à 400 000€</t>
  </si>
  <si>
    <t>De 400 001€ à 430 000€</t>
  </si>
  <si>
    <t>De 430 001€ à 460 000€</t>
  </si>
  <si>
    <t>De 400 001€ à 500 000€</t>
  </si>
  <si>
    <t>De 460 001€ à 580 000€</t>
  </si>
  <si>
    <t>Au-delà de 500 001€</t>
  </si>
  <si>
    <t>Au-delà de 580 001€</t>
  </si>
  <si>
    <t>Forfait 8 500€ par lot a partir de 3 lots apportés par un même propriétaire</t>
  </si>
  <si>
    <t>Forfait 8 500€ par lot à partir de 3 lots apportés par un même propriétaire</t>
  </si>
  <si>
    <t>BAREME HONORAIRES GESTION LOCATIVE</t>
  </si>
  <si>
    <t xml:space="preserve">
Tarifs applicables à partir du 1er janvier 2023
* T.V.A : 8.5 % - Honoraires à la charge du vendeur sauf stipulations contraires prévues au mandat</t>
  </si>
  <si>
    <t>Maisons - Appartements - Villas - Locaux commerciaux - Locaux professionnels</t>
  </si>
  <si>
    <t>HT/mois</t>
  </si>
  <si>
    <t>TTC/mois</t>
  </si>
  <si>
    <t>Honoraires  de gestion locative</t>
  </si>
  <si>
    <t>Honoraires sur travaux</t>
  </si>
  <si>
    <t>Frais de mise en demeure pour sommes impayés par locataire</t>
  </si>
  <si>
    <t>Frais de transmission du dossier contentieux à l'huissier</t>
  </si>
  <si>
    <t>BAREME HONORAIRES LOCATION</t>
  </si>
  <si>
    <t xml:space="preserve">
Tarifs applicables à partir du 1er janvier 2023
* T.V.A : 8.5 % - Honoraires à la charge du vendeur et du locataire</t>
  </si>
  <si>
    <t>SceM</t>
  </si>
  <si>
    <t>Particuliers - Maison Appartements - Villas - Pavillons</t>
  </si>
  <si>
    <t>Terrains - Locaux commerciaux - Locaux professionnels</t>
  </si>
  <si>
    <t>Honoraires bailleurs TTC</t>
  </si>
  <si>
    <t>Honoraires Locataires TTC</t>
  </si>
  <si>
    <t>Honoraire de visites du preneur, à la constitution de son dossier et à la rédaction du bail</t>
  </si>
  <si>
    <t>8€/m2</t>
  </si>
  <si>
    <t>-</t>
  </si>
  <si>
    <t>2 mois de loyers charges comprises</t>
  </si>
  <si>
    <t>Travaux</t>
  </si>
  <si>
    <t>Honoraires d'établissement d'un état des lieux</t>
  </si>
  <si>
    <t>3€/m2</t>
  </si>
  <si>
    <t>Renouvellement et avenant du bail</t>
  </si>
  <si>
    <t>50% du loyer mensuel charges comprises</t>
  </si>
  <si>
    <t>Honoraires d'entremise</t>
  </si>
  <si>
    <t>Renouvellement et avenant du bail (à la charge du demandeur)</t>
  </si>
  <si>
    <t>4€/m2</t>
  </si>
  <si>
    <t>BAREME HONORAIRES  LOCATIONS SAISONNIERES</t>
  </si>
  <si>
    <t>Garage - Box - Parking</t>
  </si>
  <si>
    <t>Montant des loyers mensuels</t>
  </si>
  <si>
    <t>Gestion Classique</t>
  </si>
  <si>
    <t>Gestion Premium</t>
  </si>
  <si>
    <t>BAREME HONORAIRES MANDAT DE RECHERCHE</t>
  </si>
  <si>
    <t>Tous types de biens</t>
  </si>
  <si>
    <t>Taux applicable sur le montant global de l'opération d'achat</t>
  </si>
  <si>
    <t>BAREME HONORAIRES ESTIMATION</t>
  </si>
  <si>
    <t>Forfait</t>
  </si>
  <si>
    <t>VALEUR VENALE</t>
  </si>
  <si>
    <t>Sur Le Tampon - Saint-Pierre - Saint-Louis - Entre-Deux</t>
  </si>
  <si>
    <t>Autres villes</t>
  </si>
  <si>
    <t>VALEUR LOCATIVE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</si>
</sst>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[$€-40C]_-;\-* #,##0.00\ [$€-40C]_-;_-* &quot;-&quot;??\ [$€-40C]_-;_-@_-"/>
    <numFmt numFmtId="165" formatCode="0.0%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charset val="1"/>
    </font>
    <font>
      <b/>
      <sz val="13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0" fontId="0" fillId="5" borderId="2" xfId="0" applyNumberFormat="1" applyFill="1" applyBorder="1" applyAlignment="1">
      <alignment horizontal="center" vertical="center"/>
    </xf>
    <xf numFmtId="10" fontId="0" fillId="5" borderId="4" xfId="0" applyNumberForma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 vertical="center" wrapText="1"/>
    </xf>
    <xf numFmtId="164" fontId="0" fillId="7" borderId="7" xfId="0" applyNumberFormat="1" applyFill="1" applyBorder="1" applyAlignment="1">
      <alignment horizontal="center" vertical="center" wrapText="1"/>
    </xf>
    <xf numFmtId="10" fontId="0" fillId="7" borderId="13" xfId="0" applyNumberFormat="1" applyFill="1" applyBorder="1" applyAlignment="1">
      <alignment horizontal="center" vertical="center"/>
    </xf>
    <xf numFmtId="10" fontId="0" fillId="7" borderId="11" xfId="0" applyNumberFormat="1" applyFill="1" applyBorder="1" applyAlignment="1">
      <alignment horizontal="center" vertical="center"/>
    </xf>
    <xf numFmtId="10" fontId="0" fillId="7" borderId="12" xfId="0" applyNumberForma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0" fontId="0" fillId="7" borderId="2" xfId="0" applyNumberFormat="1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6" fontId="0" fillId="7" borderId="1" xfId="0" applyNumberFormat="1" applyFill="1" applyBorder="1" applyAlignment="1">
      <alignment horizontal="center" vertical="center"/>
    </xf>
    <xf numFmtId="6" fontId="0" fillId="7" borderId="6" xfId="0" applyNumberFormat="1" applyFill="1" applyBorder="1" applyAlignment="1">
      <alignment horizontal="center" vertical="center"/>
    </xf>
    <xf numFmtId="6" fontId="0" fillId="7" borderId="5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6" fontId="0" fillId="7" borderId="13" xfId="0" applyNumberFormat="1" applyFill="1" applyBorder="1" applyAlignment="1">
      <alignment horizontal="center" vertical="center"/>
    </xf>
    <xf numFmtId="6" fontId="0" fillId="7" borderId="10" xfId="0" applyNumberFormat="1" applyFill="1" applyBorder="1" applyAlignment="1">
      <alignment horizontal="center" vertical="center"/>
    </xf>
    <xf numFmtId="6" fontId="0" fillId="7" borderId="11" xfId="0" applyNumberFormat="1" applyFill="1" applyBorder="1" applyAlignment="1">
      <alignment horizontal="center" vertical="center"/>
    </xf>
    <xf numFmtId="0" fontId="0" fillId="7" borderId="1" xfId="0" quotePrefix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0" fillId="7" borderId="1" xfId="0" applyNumberFormat="1" applyFill="1" applyBorder="1" applyAlignment="1">
      <alignment horizontal="center" vertical="center" wrapText="1"/>
    </xf>
    <xf numFmtId="6" fontId="0" fillId="7" borderId="1" xfId="0" quotePrefix="1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4" fontId="0" fillId="7" borderId="2" xfId="0" quotePrefix="1" applyNumberFormat="1" applyFill="1" applyBorder="1" applyAlignment="1">
      <alignment horizontal="center" vertical="center"/>
    </xf>
    <xf numFmtId="164" fontId="0" fillId="7" borderId="3" xfId="0" quotePrefix="1" applyNumberFormat="1" applyFill="1" applyBorder="1" applyAlignment="1">
      <alignment horizontal="center" vertical="center"/>
    </xf>
    <xf numFmtId="164" fontId="0" fillId="7" borderId="4" xfId="0" quotePrefix="1" applyNumberFormat="1" applyFill="1" applyBorder="1" applyAlignment="1">
      <alignment horizontal="center" vertical="center"/>
    </xf>
    <xf numFmtId="6" fontId="0" fillId="7" borderId="2" xfId="0" applyNumberFormat="1" applyFill="1" applyBorder="1" applyAlignment="1">
      <alignment horizontal="center" vertical="center"/>
    </xf>
    <xf numFmtId="6" fontId="0" fillId="7" borderId="3" xfId="0" applyNumberFormat="1" applyFill="1" applyBorder="1" applyAlignment="1">
      <alignment horizontal="center" vertical="center"/>
    </xf>
    <xf numFmtId="6" fontId="0" fillId="7" borderId="4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0" fontId="8" fillId="9" borderId="2" xfId="0" applyNumberFormat="1" applyFont="1" applyFill="1" applyBorder="1" applyAlignment="1">
      <alignment horizontal="center" vertical="center"/>
    </xf>
    <xf numFmtId="10" fontId="8" fillId="9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1FADC"/>
      <color rgb="FFFCDE30"/>
      <color rgb="FFF7FFE3"/>
      <color rgb="FFB1C7E3"/>
      <color rgb="FF9FB3CC"/>
      <color rgb="FF95AAC4"/>
      <color rgb="FFFADD39"/>
      <color rgb="FFB8C6F5"/>
      <color rgb="FFD7C5DE"/>
      <color rgb="FFB8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tabSelected="1" workbookViewId="0">
      <selection activeCell="P18" sqref="P18"/>
    </sheetView>
  </sheetViews>
  <sheetFormatPr defaultColWidth="9.140625" defaultRowHeight="15"/>
  <cols>
    <col min="1" max="1" width="9.140625" style="2"/>
    <col min="2" max="2" width="20.7109375" style="2" customWidth="1"/>
    <col min="3" max="6" width="9.140625" style="2"/>
    <col min="7" max="8" width="9.140625" style="2" bestFit="1" customWidth="1"/>
    <col min="9" max="10" width="9.140625" style="2"/>
    <col min="11" max="11" width="11.28515625" style="2" hidden="1" customWidth="1"/>
    <col min="12" max="12" width="3.42578125" style="2" customWidth="1"/>
    <col min="13" max="13" width="12.28515625" style="2" customWidth="1"/>
    <col min="14" max="14" width="11.28515625" style="2" customWidth="1"/>
    <col min="15" max="15" width="12.5703125" style="2" bestFit="1" customWidth="1"/>
    <col min="16" max="16" width="9.140625" style="2" customWidth="1"/>
    <col min="17" max="18" width="9.140625" style="2"/>
    <col min="19" max="19" width="12.28515625" style="2" bestFit="1" customWidth="1"/>
    <col min="20" max="20" width="9.28515625" style="2" bestFit="1" customWidth="1"/>
    <col min="21" max="22" width="9.140625" style="2"/>
    <col min="23" max="23" width="9.140625" style="2" customWidth="1"/>
    <col min="24" max="24" width="11.28515625" style="2" customWidth="1"/>
    <col min="25" max="25" width="15" style="2" customWidth="1"/>
    <col min="26" max="26" width="9.140625" style="2" customWidth="1"/>
    <col min="27" max="27" width="12.28515625" style="2" bestFit="1" customWidth="1"/>
    <col min="28" max="28" width="9.140625" style="2"/>
    <col min="29" max="29" width="11.28515625" style="2" hidden="1" customWidth="1"/>
    <col min="30" max="30" width="12.5703125" style="2" hidden="1" customWidth="1"/>
    <col min="31" max="31" width="9.28515625" style="2" bestFit="1" customWidth="1"/>
    <col min="32" max="41" width="9.140625" style="2"/>
    <col min="42" max="42" width="15.140625" style="2" customWidth="1"/>
    <col min="43" max="53" width="9.140625" style="2"/>
    <col min="54" max="54" width="17.140625" style="2" customWidth="1"/>
    <col min="55" max="16384" width="9.140625" style="2"/>
  </cols>
  <sheetData>
    <row r="1" spans="1:30" ht="18.7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4"/>
      <c r="M1" s="52" t="s">
        <v>1</v>
      </c>
      <c r="N1" s="53"/>
      <c r="O1" s="53"/>
      <c r="P1" s="53"/>
      <c r="Q1" s="53"/>
      <c r="R1" s="53"/>
      <c r="S1" s="53"/>
      <c r="T1" s="53"/>
      <c r="U1" s="53"/>
      <c r="V1" s="54"/>
    </row>
    <row r="2" spans="1:30" ht="53.25" customHeight="1">
      <c r="A2" s="58" t="s">
        <v>2</v>
      </c>
      <c r="B2" s="59"/>
      <c r="C2" s="59"/>
      <c r="D2" s="59"/>
      <c r="E2" s="59"/>
      <c r="F2" s="59"/>
      <c r="G2" s="59"/>
      <c r="H2" s="59"/>
      <c r="I2" s="59"/>
      <c r="J2" s="60"/>
      <c r="M2" s="58" t="s">
        <v>2</v>
      </c>
      <c r="N2" s="59"/>
      <c r="O2" s="59"/>
      <c r="P2" s="59"/>
      <c r="Q2" s="59"/>
      <c r="R2" s="59"/>
      <c r="S2" s="59"/>
      <c r="T2" s="59"/>
      <c r="U2" s="59"/>
      <c r="V2" s="60"/>
    </row>
    <row r="3" spans="1:30" ht="15.75" customHeight="1">
      <c r="A3" s="55" t="s">
        <v>3</v>
      </c>
      <c r="B3" s="56"/>
      <c r="C3" s="56"/>
      <c r="D3" s="56"/>
      <c r="E3" s="56"/>
      <c r="F3" s="56"/>
      <c r="G3" s="56"/>
      <c r="H3" s="56"/>
      <c r="I3" s="56"/>
      <c r="J3" s="57"/>
      <c r="M3" s="55" t="s">
        <v>3</v>
      </c>
      <c r="N3" s="56"/>
      <c r="O3" s="56"/>
      <c r="P3" s="56"/>
      <c r="Q3" s="56"/>
      <c r="R3" s="56"/>
      <c r="S3" s="56"/>
      <c r="T3" s="56"/>
      <c r="U3" s="56"/>
      <c r="V3" s="57"/>
    </row>
    <row r="4" spans="1:30" ht="15.75" customHeight="1">
      <c r="A4" s="30" t="s">
        <v>4</v>
      </c>
      <c r="B4" s="39"/>
      <c r="C4" s="39"/>
      <c r="D4" s="39"/>
      <c r="E4" s="39"/>
      <c r="F4" s="31"/>
      <c r="G4" s="30" t="s">
        <v>5</v>
      </c>
      <c r="H4" s="31"/>
      <c r="I4" s="30" t="s">
        <v>6</v>
      </c>
      <c r="J4" s="31"/>
      <c r="K4" s="3">
        <v>8.5000000000000006E-2</v>
      </c>
      <c r="M4" s="30" t="s">
        <v>4</v>
      </c>
      <c r="N4" s="39"/>
      <c r="O4" s="39"/>
      <c r="P4" s="39"/>
      <c r="Q4" s="39"/>
      <c r="R4" s="31"/>
      <c r="S4" s="30" t="s">
        <v>5</v>
      </c>
      <c r="T4" s="31"/>
      <c r="U4" s="30" t="s">
        <v>6</v>
      </c>
      <c r="V4" s="31"/>
    </row>
    <row r="5" spans="1:30" ht="15" customHeight="1">
      <c r="A5" s="36" t="s">
        <v>7</v>
      </c>
      <c r="B5" s="37"/>
      <c r="C5" s="37"/>
      <c r="D5" s="37"/>
      <c r="E5" s="37"/>
      <c r="F5" s="38"/>
      <c r="G5" s="40">
        <f>I5/1.085</f>
        <v>4516.1290322580644</v>
      </c>
      <c r="H5" s="41"/>
      <c r="I5" s="40">
        <v>4900</v>
      </c>
      <c r="J5" s="41"/>
      <c r="K5" s="1">
        <f>G5*$K$4</f>
        <v>383.87096774193549</v>
      </c>
      <c r="M5" s="36" t="s">
        <v>7</v>
      </c>
      <c r="N5" s="37"/>
      <c r="O5" s="37"/>
      <c r="P5" s="37"/>
      <c r="Q5" s="37"/>
      <c r="R5" s="38"/>
      <c r="S5" s="61">
        <f>U5/1.085</f>
        <v>5069.1244239631342</v>
      </c>
      <c r="T5" s="62"/>
      <c r="U5" s="61">
        <v>5500</v>
      </c>
      <c r="V5" s="62"/>
      <c r="W5" s="1"/>
      <c r="X5" s="1"/>
      <c r="Z5" s="3"/>
    </row>
    <row r="6" spans="1:30">
      <c r="A6" s="22" t="s">
        <v>8</v>
      </c>
      <c r="B6" s="23"/>
      <c r="C6" s="23"/>
      <c r="D6" s="23"/>
      <c r="E6" s="23"/>
      <c r="F6" s="24"/>
      <c r="G6" s="27">
        <f t="shared" ref="G6:G14" si="0">I6/1.085</f>
        <v>7834.1013824884794</v>
      </c>
      <c r="H6" s="28"/>
      <c r="I6" s="27">
        <v>8500</v>
      </c>
      <c r="J6" s="28"/>
      <c r="K6" s="1">
        <f>G6*$K$4</f>
        <v>665.8986175115208</v>
      </c>
      <c r="M6" s="22" t="s">
        <v>9</v>
      </c>
      <c r="N6" s="23"/>
      <c r="O6" s="23"/>
      <c r="P6" s="23"/>
      <c r="Q6" s="23"/>
      <c r="R6" s="24"/>
      <c r="S6" s="17">
        <f>U6/1.085</f>
        <v>9.2165898617511524E-2</v>
      </c>
      <c r="T6" s="18"/>
      <c r="U6" s="17">
        <v>0.1</v>
      </c>
      <c r="V6" s="18"/>
      <c r="X6" s="1"/>
      <c r="Y6" s="1"/>
      <c r="Z6" s="1"/>
      <c r="AA6" s="1"/>
      <c r="AC6" s="1">
        <f>50000*S6</f>
        <v>4608.294930875576</v>
      </c>
      <c r="AD6" s="1">
        <f>100000*S6</f>
        <v>9216.5898617511521</v>
      </c>
    </row>
    <row r="7" spans="1:30" ht="15" customHeight="1">
      <c r="A7" s="36" t="s">
        <v>10</v>
      </c>
      <c r="B7" s="37"/>
      <c r="C7" s="37"/>
      <c r="D7" s="37"/>
      <c r="E7" s="37"/>
      <c r="F7" s="38"/>
      <c r="G7" s="40">
        <f t="shared" si="0"/>
        <v>9400.9216589861753</v>
      </c>
      <c r="H7" s="41"/>
      <c r="I7" s="40">
        <v>10200</v>
      </c>
      <c r="J7" s="41"/>
      <c r="K7" s="1">
        <f>G7*$K$4</f>
        <v>799.07834101382491</v>
      </c>
      <c r="L7" s="8"/>
      <c r="M7" s="36" t="s">
        <v>11</v>
      </c>
      <c r="N7" s="37"/>
      <c r="O7" s="37"/>
      <c r="P7" s="37"/>
      <c r="Q7" s="37"/>
      <c r="R7" s="38"/>
      <c r="S7" s="32">
        <f t="shared" ref="S7:S14" si="1">U7/1.085</f>
        <v>8.0184331797235026E-2</v>
      </c>
      <c r="T7" s="33"/>
      <c r="U7" s="32">
        <v>8.6999999999999994E-2</v>
      </c>
      <c r="V7" s="33"/>
      <c r="X7" s="1"/>
      <c r="Y7" s="1"/>
      <c r="Z7" s="1"/>
      <c r="AA7" s="1"/>
      <c r="AC7" s="1">
        <f>100001*S7</f>
        <v>8018.5133640552995</v>
      </c>
      <c r="AD7" s="1">
        <f>140000*S7</f>
        <v>11225.806451612903</v>
      </c>
    </row>
    <row r="8" spans="1:30" ht="15" customHeight="1">
      <c r="A8" s="50" t="s">
        <v>12</v>
      </c>
      <c r="B8" s="50"/>
      <c r="C8" s="50"/>
      <c r="D8" s="50"/>
      <c r="E8" s="50"/>
      <c r="F8" s="51"/>
      <c r="G8" s="27">
        <f t="shared" si="0"/>
        <v>11013.824884792628</v>
      </c>
      <c r="H8" s="28"/>
      <c r="I8" s="48">
        <v>11950</v>
      </c>
      <c r="J8" s="49"/>
      <c r="K8" s="1">
        <f>G8*$K$4</f>
        <v>936.17511520737344</v>
      </c>
      <c r="M8" s="22" t="s">
        <v>13</v>
      </c>
      <c r="N8" s="23"/>
      <c r="O8" s="23"/>
      <c r="P8" s="23"/>
      <c r="Q8" s="23"/>
      <c r="R8" s="24"/>
      <c r="S8" s="17">
        <f t="shared" si="1"/>
        <v>7.5576036866359456E-2</v>
      </c>
      <c r="T8" s="18"/>
      <c r="U8" s="34">
        <v>8.2000000000000003E-2</v>
      </c>
      <c r="V8" s="35"/>
      <c r="X8" s="1"/>
      <c r="Y8" s="1"/>
      <c r="Z8" s="1"/>
      <c r="AA8" s="1"/>
      <c r="AC8" s="1">
        <f>140001*S8</f>
        <v>10580.72073732719</v>
      </c>
      <c r="AD8" s="1">
        <f>180000*S8</f>
        <v>13603.686635944701</v>
      </c>
    </row>
    <row r="9" spans="1:30" ht="15.75" customHeight="1">
      <c r="A9" s="36" t="s">
        <v>14</v>
      </c>
      <c r="B9" s="37"/>
      <c r="C9" s="37"/>
      <c r="D9" s="37"/>
      <c r="E9" s="37"/>
      <c r="F9" s="38"/>
      <c r="G9" s="40">
        <f t="shared" si="0"/>
        <v>11935.483870967742</v>
      </c>
      <c r="H9" s="41"/>
      <c r="I9" s="40">
        <v>12950</v>
      </c>
      <c r="J9" s="41"/>
      <c r="K9" s="1">
        <f>G9*$K$4</f>
        <v>1014.5161290322582</v>
      </c>
      <c r="M9" s="36" t="s">
        <v>12</v>
      </c>
      <c r="N9" s="37"/>
      <c r="O9" s="37"/>
      <c r="P9" s="37"/>
      <c r="Q9" s="37"/>
      <c r="R9" s="38"/>
      <c r="S9" s="32">
        <f t="shared" si="1"/>
        <v>6.9124423963133647E-2</v>
      </c>
      <c r="T9" s="33"/>
      <c r="U9" s="32">
        <v>7.4999999999999997E-2</v>
      </c>
      <c r="V9" s="33"/>
      <c r="X9" s="1"/>
      <c r="Y9" s="1"/>
      <c r="Z9" s="1"/>
      <c r="AA9" s="1"/>
      <c r="AC9" s="1">
        <f>180001*S9</f>
        <v>12442.46543778802</v>
      </c>
      <c r="AD9" s="1">
        <f>230000*S9</f>
        <v>15898.617511520739</v>
      </c>
    </row>
    <row r="10" spans="1:30">
      <c r="A10" s="42" t="s">
        <v>15</v>
      </c>
      <c r="B10" s="43"/>
      <c r="C10" s="43"/>
      <c r="D10" s="43"/>
      <c r="E10" s="43"/>
      <c r="F10" s="44"/>
      <c r="G10" s="27">
        <f t="shared" si="0"/>
        <v>12857.142857142857</v>
      </c>
      <c r="H10" s="28"/>
      <c r="I10" s="27">
        <v>13950</v>
      </c>
      <c r="J10" s="28"/>
      <c r="K10" s="1">
        <f>G10*$K$4</f>
        <v>1092.8571428571429</v>
      </c>
      <c r="M10" s="42" t="s">
        <v>14</v>
      </c>
      <c r="N10" s="43"/>
      <c r="O10" s="43"/>
      <c r="P10" s="43"/>
      <c r="Q10" s="43"/>
      <c r="R10" s="44"/>
      <c r="S10" s="17">
        <f t="shared" si="1"/>
        <v>6.4516129032258077E-2</v>
      </c>
      <c r="T10" s="18"/>
      <c r="U10" s="17">
        <v>7.0000000000000007E-2</v>
      </c>
      <c r="V10" s="18"/>
      <c r="X10" s="1"/>
      <c r="Y10" s="1"/>
      <c r="Z10" s="1"/>
      <c r="AA10" s="1"/>
      <c r="AC10" s="1">
        <f>230001*S10</f>
        <v>14838.77419354839</v>
      </c>
      <c r="AD10" s="1">
        <f>265000*S10</f>
        <v>17096.77419354839</v>
      </c>
    </row>
    <row r="11" spans="1:30">
      <c r="A11" s="36" t="s">
        <v>16</v>
      </c>
      <c r="B11" s="37"/>
      <c r="C11" s="37"/>
      <c r="D11" s="37"/>
      <c r="E11" s="37"/>
      <c r="F11" s="38"/>
      <c r="G11" s="40">
        <f t="shared" si="0"/>
        <v>14193.548387096775</v>
      </c>
      <c r="H11" s="41"/>
      <c r="I11" s="40">
        <v>15400</v>
      </c>
      <c r="J11" s="41"/>
      <c r="K11" s="1">
        <f>G11*$K$4</f>
        <v>1206.4516129032259</v>
      </c>
      <c r="M11" s="63" t="s">
        <v>15</v>
      </c>
      <c r="N11" s="64"/>
      <c r="O11" s="64"/>
      <c r="P11" s="64"/>
      <c r="Q11" s="64"/>
      <c r="R11" s="65"/>
      <c r="S11" s="32">
        <f t="shared" si="1"/>
        <v>6.2672811059907838E-2</v>
      </c>
      <c r="T11" s="33"/>
      <c r="U11" s="32">
        <v>6.8000000000000005E-2</v>
      </c>
      <c r="V11" s="33"/>
      <c r="X11" s="1"/>
      <c r="Y11" s="1"/>
      <c r="Z11" s="1"/>
      <c r="AA11" s="1"/>
      <c r="AC11" s="1">
        <f>265001*S11</f>
        <v>16608.357603686636</v>
      </c>
      <c r="AD11" s="1">
        <f>300000*S11</f>
        <v>18801.843317972351</v>
      </c>
    </row>
    <row r="12" spans="1:30">
      <c r="A12" s="45" t="s">
        <v>17</v>
      </c>
      <c r="B12" s="46"/>
      <c r="C12" s="46"/>
      <c r="D12" s="46"/>
      <c r="E12" s="46"/>
      <c r="F12" s="47"/>
      <c r="G12" s="27">
        <f t="shared" si="0"/>
        <v>17428.571428571428</v>
      </c>
      <c r="H12" s="28"/>
      <c r="I12" s="27">
        <v>18910</v>
      </c>
      <c r="J12" s="28"/>
      <c r="K12" s="1">
        <f>G12*$K$4</f>
        <v>1481.4285714285716</v>
      </c>
      <c r="M12" s="22" t="s">
        <v>16</v>
      </c>
      <c r="N12" s="23"/>
      <c r="O12" s="23"/>
      <c r="P12" s="23"/>
      <c r="Q12" s="23"/>
      <c r="R12" s="24"/>
      <c r="S12" s="17">
        <f t="shared" si="1"/>
        <v>5.8064516129032261E-2</v>
      </c>
      <c r="T12" s="18"/>
      <c r="U12" s="17">
        <v>6.3E-2</v>
      </c>
      <c r="V12" s="18"/>
      <c r="X12" s="1"/>
      <c r="Y12" s="1"/>
      <c r="Z12" s="1"/>
      <c r="AA12" s="1"/>
      <c r="AC12" s="1">
        <f>300001*S12</f>
        <v>17419.412903225806</v>
      </c>
      <c r="AD12" s="1">
        <f>400000*S12</f>
        <v>23225.806451612905</v>
      </c>
    </row>
    <row r="13" spans="1:30">
      <c r="A13" s="36" t="s">
        <v>18</v>
      </c>
      <c r="B13" s="37"/>
      <c r="C13" s="37"/>
      <c r="D13" s="37"/>
      <c r="E13" s="37"/>
      <c r="F13" s="38"/>
      <c r="G13" s="40">
        <f t="shared" si="0"/>
        <v>18635.94470046083</v>
      </c>
      <c r="H13" s="41"/>
      <c r="I13" s="40">
        <v>20220</v>
      </c>
      <c r="J13" s="41"/>
      <c r="K13" s="1">
        <f>G13*$K$4</f>
        <v>1584.0552995391706</v>
      </c>
      <c r="M13" s="66" t="s">
        <v>19</v>
      </c>
      <c r="N13" s="67"/>
      <c r="O13" s="67"/>
      <c r="P13" s="67"/>
      <c r="Q13" s="67"/>
      <c r="R13" s="68"/>
      <c r="S13" s="32">
        <f t="shared" si="1"/>
        <v>5.3456221198156684E-2</v>
      </c>
      <c r="T13" s="33"/>
      <c r="U13" s="32">
        <v>5.8000000000000003E-2</v>
      </c>
      <c r="V13" s="33"/>
      <c r="X13" s="1"/>
      <c r="Y13" s="1"/>
      <c r="Z13" s="1"/>
      <c r="AA13" s="1"/>
      <c r="AC13" s="1">
        <f>400001*S13</f>
        <v>21382.54193548387</v>
      </c>
      <c r="AD13" s="1">
        <f>500000*S13</f>
        <v>26728.110599078344</v>
      </c>
    </row>
    <row r="14" spans="1:30">
      <c r="A14" s="22" t="s">
        <v>20</v>
      </c>
      <c r="B14" s="23"/>
      <c r="C14" s="23"/>
      <c r="D14" s="23"/>
      <c r="E14" s="23"/>
      <c r="F14" s="24"/>
      <c r="G14" s="27">
        <f t="shared" si="0"/>
        <v>20843.317972350233</v>
      </c>
      <c r="H14" s="28"/>
      <c r="I14" s="27">
        <v>22615</v>
      </c>
      <c r="J14" s="28"/>
      <c r="K14" s="1">
        <f>G14*$K$4</f>
        <v>1771.6820276497699</v>
      </c>
      <c r="M14" s="22" t="s">
        <v>21</v>
      </c>
      <c r="N14" s="23"/>
      <c r="O14" s="23"/>
      <c r="P14" s="23"/>
      <c r="Q14" s="23"/>
      <c r="R14" s="24"/>
      <c r="S14" s="17">
        <f t="shared" si="1"/>
        <v>4.3317972350230417E-2</v>
      </c>
      <c r="T14" s="18"/>
      <c r="U14" s="17">
        <v>4.7E-2</v>
      </c>
      <c r="V14" s="18"/>
      <c r="X14" s="1"/>
      <c r="Y14" s="1"/>
      <c r="Z14" s="1"/>
      <c r="AA14" s="1"/>
      <c r="AC14" s="1">
        <f>501000*S14</f>
        <v>21702.304147465438</v>
      </c>
      <c r="AD14" s="1"/>
    </row>
    <row r="15" spans="1:30" ht="15" customHeight="1">
      <c r="A15" s="19" t="s">
        <v>22</v>
      </c>
      <c r="B15" s="20"/>
      <c r="C15" s="20"/>
      <c r="D15" s="20"/>
      <c r="E15" s="20"/>
      <c r="F15" s="21"/>
      <c r="G15" s="25">
        <f>I15/1.085</f>
        <v>23041.474654377882</v>
      </c>
      <c r="H15" s="26"/>
      <c r="I15" s="25">
        <v>25000</v>
      </c>
      <c r="J15" s="26"/>
      <c r="K15" s="1">
        <f>G15*$K$4</f>
        <v>1958.5253456221201</v>
      </c>
      <c r="M15" s="16" t="s">
        <v>23</v>
      </c>
      <c r="N15" s="16"/>
      <c r="O15" s="16"/>
      <c r="P15" s="16"/>
      <c r="Q15" s="16"/>
      <c r="R15" s="16"/>
      <c r="S15" s="16"/>
      <c r="T15" s="16"/>
      <c r="U15" s="16"/>
      <c r="V15" s="16"/>
    </row>
    <row r="16" spans="1:30" ht="17.25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">
        <f>G16*$K$4</f>
        <v>0</v>
      </c>
      <c r="L16" s="8"/>
    </row>
    <row r="19" spans="62:63" ht="53.25" customHeight="1"/>
    <row r="22" spans="62:63" ht="15" customHeight="1">
      <c r="BJ22" s="2" t="e">
        <f>500*'HONORAIRES GESTION'!#REF!</f>
        <v>#REF!</v>
      </c>
    </row>
    <row r="23" spans="62:63" ht="15" customHeight="1">
      <c r="BJ23" s="2">
        <f>500*'HONORAIRES GESTION'!I5</f>
        <v>28.2</v>
      </c>
      <c r="BK23" s="2">
        <f>1300*'HONORAIRES GESTION'!I5</f>
        <v>73.319999999999993</v>
      </c>
    </row>
    <row r="24" spans="62:63" ht="15" customHeight="1">
      <c r="BJ24" s="2" t="e">
        <f>500*'HONORAIRES GESTION'!#REF!</f>
        <v>#REF!</v>
      </c>
      <c r="BK24" s="2" t="e">
        <f>1300*'HONORAIRES GESTION'!#REF!</f>
        <v>#REF!</v>
      </c>
    </row>
    <row r="33" spans="7:11">
      <c r="G33" s="29"/>
      <c r="H33" s="29"/>
      <c r="I33" s="29"/>
      <c r="J33" s="29"/>
    </row>
    <row r="36" spans="7:11" ht="53.25" customHeight="1"/>
    <row r="39" spans="7:11" ht="15" customHeight="1"/>
    <row r="40" spans="7:11" ht="15" customHeight="1">
      <c r="I40" s="1"/>
      <c r="J40" s="1"/>
    </row>
    <row r="42" spans="7:11" ht="53.25" customHeight="1"/>
    <row r="43" spans="7:11" ht="15" customHeight="1"/>
    <row r="45" spans="7:11">
      <c r="K45" s="1">
        <f>S22*8.5%</f>
        <v>0</v>
      </c>
    </row>
    <row r="46" spans="7:11" ht="15" customHeight="1">
      <c r="K46" s="1"/>
    </row>
  </sheetData>
  <mergeCells count="79">
    <mergeCell ref="S13:T13"/>
    <mergeCell ref="M13:R13"/>
    <mergeCell ref="M11:R11"/>
    <mergeCell ref="S6:T6"/>
    <mergeCell ref="M2:V2"/>
    <mergeCell ref="M3:V3"/>
    <mergeCell ref="U5:V5"/>
    <mergeCell ref="M1:V1"/>
    <mergeCell ref="S12:T12"/>
    <mergeCell ref="U14:V14"/>
    <mergeCell ref="U13:V13"/>
    <mergeCell ref="M7:R7"/>
    <mergeCell ref="S7:T7"/>
    <mergeCell ref="S8:T8"/>
    <mergeCell ref="S10:T10"/>
    <mergeCell ref="M10:R10"/>
    <mergeCell ref="S9:T9"/>
    <mergeCell ref="M8:R8"/>
    <mergeCell ref="M9:R9"/>
    <mergeCell ref="M6:R6"/>
    <mergeCell ref="S4:T4"/>
    <mergeCell ref="S5:T5"/>
    <mergeCell ref="S11:T11"/>
    <mergeCell ref="A1:J1"/>
    <mergeCell ref="G5:H5"/>
    <mergeCell ref="G4:H4"/>
    <mergeCell ref="A4:F4"/>
    <mergeCell ref="I4:J4"/>
    <mergeCell ref="I5:J5"/>
    <mergeCell ref="A5:F5"/>
    <mergeCell ref="A3:J3"/>
    <mergeCell ref="A2:J2"/>
    <mergeCell ref="A9:F9"/>
    <mergeCell ref="A11:F11"/>
    <mergeCell ref="G11:H11"/>
    <mergeCell ref="A6:F6"/>
    <mergeCell ref="I10:J10"/>
    <mergeCell ref="A13:F13"/>
    <mergeCell ref="I13:J13"/>
    <mergeCell ref="G13:H13"/>
    <mergeCell ref="I7:J7"/>
    <mergeCell ref="A10:F10"/>
    <mergeCell ref="A12:F12"/>
    <mergeCell ref="G12:H12"/>
    <mergeCell ref="G8:H8"/>
    <mergeCell ref="G9:H9"/>
    <mergeCell ref="A7:F7"/>
    <mergeCell ref="I8:J8"/>
    <mergeCell ref="I9:J9"/>
    <mergeCell ref="I11:J11"/>
    <mergeCell ref="G7:H7"/>
    <mergeCell ref="G10:H10"/>
    <mergeCell ref="A8:F8"/>
    <mergeCell ref="G33:H33"/>
    <mergeCell ref="I33:J33"/>
    <mergeCell ref="U4:V4"/>
    <mergeCell ref="U6:V6"/>
    <mergeCell ref="U7:V7"/>
    <mergeCell ref="U9:V9"/>
    <mergeCell ref="U10:V10"/>
    <mergeCell ref="U11:V11"/>
    <mergeCell ref="U12:V12"/>
    <mergeCell ref="U8:V8"/>
    <mergeCell ref="I12:J12"/>
    <mergeCell ref="I6:J6"/>
    <mergeCell ref="M5:R5"/>
    <mergeCell ref="M4:R4"/>
    <mergeCell ref="G6:H6"/>
    <mergeCell ref="M12:R12"/>
    <mergeCell ref="A16:J16"/>
    <mergeCell ref="S14:T14"/>
    <mergeCell ref="M15:V15"/>
    <mergeCell ref="A15:F15"/>
    <mergeCell ref="M14:R14"/>
    <mergeCell ref="G15:H15"/>
    <mergeCell ref="I15:J15"/>
    <mergeCell ref="A14:F14"/>
    <mergeCell ref="I14:J14"/>
    <mergeCell ref="G14:H14"/>
  </mergeCells>
  <conditionalFormatting sqref="AA6">
    <cfRule type="cellIs" dxfId="0" priority="2" operator="greaterThan">
      <formula>$I$6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CF17-7004-43AA-9027-FF6C21ED20C3}">
  <dimension ref="A1:X26"/>
  <sheetViews>
    <sheetView workbookViewId="0">
      <selection activeCell="H17" sqref="H17"/>
    </sheetView>
  </sheetViews>
  <sheetFormatPr defaultRowHeight="15"/>
  <sheetData>
    <row r="1" spans="1:24" ht="18.75">
      <c r="A1" s="82" t="s">
        <v>25</v>
      </c>
      <c r="B1" s="83"/>
      <c r="C1" s="83"/>
      <c r="D1" s="83"/>
      <c r="E1" s="83"/>
      <c r="F1" s="83"/>
      <c r="G1" s="83"/>
      <c r="H1" s="83"/>
      <c r="I1" s="83"/>
      <c r="J1" s="84"/>
    </row>
    <row r="2" spans="1:24" ht="53.25" customHeigh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60"/>
    </row>
    <row r="3" spans="1:24" ht="15.75">
      <c r="A3" s="85" t="s">
        <v>27</v>
      </c>
      <c r="B3" s="86"/>
      <c r="C3" s="86"/>
      <c r="D3" s="86"/>
      <c r="E3" s="86"/>
      <c r="F3" s="86"/>
      <c r="G3" s="86"/>
      <c r="H3" s="86"/>
      <c r="I3" s="86"/>
      <c r="J3" s="87"/>
    </row>
    <row r="4" spans="1:24">
      <c r="A4" s="88"/>
      <c r="B4" s="88"/>
      <c r="C4" s="88"/>
      <c r="D4" s="88"/>
      <c r="E4" s="88"/>
      <c r="F4" s="89"/>
      <c r="G4" s="70" t="s">
        <v>28</v>
      </c>
      <c r="H4" s="89"/>
      <c r="I4" s="70" t="s">
        <v>29</v>
      </c>
      <c r="J4" s="89"/>
    </row>
    <row r="5" spans="1:24">
      <c r="A5" s="71" t="s">
        <v>30</v>
      </c>
      <c r="B5" s="71"/>
      <c r="C5" s="71"/>
      <c r="D5" s="71"/>
      <c r="E5" s="71"/>
      <c r="F5" s="71"/>
      <c r="G5" s="73">
        <f t="shared" ref="G5" si="0">I5/1.085</f>
        <v>5.1981566820276499E-2</v>
      </c>
      <c r="H5" s="73"/>
      <c r="I5" s="73">
        <v>5.6399999999999999E-2</v>
      </c>
      <c r="J5" s="73"/>
      <c r="V5" s="9"/>
    </row>
    <row r="6" spans="1:24">
      <c r="A6" s="11"/>
      <c r="B6" s="12"/>
      <c r="C6" s="12"/>
      <c r="D6" s="12"/>
      <c r="E6" s="12"/>
      <c r="F6" s="12"/>
      <c r="G6" s="69" t="s">
        <v>5</v>
      </c>
      <c r="H6" s="70"/>
      <c r="I6" s="69" t="s">
        <v>6</v>
      </c>
      <c r="J6" s="69"/>
      <c r="V6" s="9"/>
    </row>
    <row r="7" spans="1:24" ht="15" customHeight="1">
      <c r="A7" s="71" t="s">
        <v>31</v>
      </c>
      <c r="B7" s="71"/>
      <c r="C7" s="71"/>
      <c r="D7" s="71"/>
      <c r="E7" s="71"/>
      <c r="F7" s="71"/>
      <c r="G7" s="79">
        <v>5.9900000000000002E-2</v>
      </c>
      <c r="H7" s="80"/>
      <c r="I7" s="81">
        <v>5.5E-2</v>
      </c>
      <c r="J7" s="81"/>
      <c r="W7" s="9"/>
      <c r="X7" s="9"/>
    </row>
    <row r="8" spans="1:24">
      <c r="A8" s="11"/>
      <c r="B8" s="12"/>
      <c r="C8" s="12"/>
      <c r="D8" s="12"/>
      <c r="E8" s="12"/>
      <c r="F8" s="12"/>
      <c r="G8" s="69" t="s">
        <v>5</v>
      </c>
      <c r="H8" s="70"/>
      <c r="I8" s="69" t="s">
        <v>6</v>
      </c>
      <c r="J8" s="69"/>
      <c r="V8" s="9"/>
    </row>
    <row r="9" spans="1:24">
      <c r="A9" s="74" t="s">
        <v>32</v>
      </c>
      <c r="B9" s="75"/>
      <c r="C9" s="75"/>
      <c r="D9" s="75"/>
      <c r="E9" s="75"/>
      <c r="F9" s="76"/>
      <c r="G9" s="77">
        <f>I9/1.085</f>
        <v>13.824884792626728</v>
      </c>
      <c r="H9" s="76"/>
      <c r="I9" s="77">
        <v>15</v>
      </c>
      <c r="J9" s="78"/>
      <c r="V9" s="9"/>
    </row>
    <row r="10" spans="1:24">
      <c r="A10" s="71" t="s">
        <v>33</v>
      </c>
      <c r="B10" s="71"/>
      <c r="C10" s="71"/>
      <c r="D10" s="71"/>
      <c r="E10" s="71"/>
      <c r="F10" s="71"/>
      <c r="G10" s="72">
        <f>I10/1.085</f>
        <v>156.68202764976959</v>
      </c>
      <c r="H10" s="72"/>
      <c r="I10" s="72">
        <v>170</v>
      </c>
      <c r="J10" s="72"/>
      <c r="V10" s="9"/>
    </row>
    <row r="11" spans="1:24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24" ht="52.5" customHeight="1"/>
    <row r="16" spans="1:24" ht="15" customHeight="1"/>
    <row r="17" spans="12:24" ht="15" customHeight="1">
      <c r="L17" s="6"/>
      <c r="M17" s="6"/>
      <c r="N17" s="6"/>
      <c r="O17" s="6"/>
      <c r="P17" s="6"/>
      <c r="Q17" s="6"/>
      <c r="R17" s="6"/>
      <c r="S17" s="6"/>
      <c r="T17" s="5"/>
      <c r="U17" s="5"/>
    </row>
    <row r="18" spans="12:24" ht="15" customHeight="1">
      <c r="R18" s="9"/>
    </row>
    <row r="21" spans="12:24" ht="15" customHeight="1"/>
    <row r="24" spans="12:24">
      <c r="W24">
        <f>1200*R24</f>
        <v>0</v>
      </c>
      <c r="X24">
        <f>1000*R24</f>
        <v>0</v>
      </c>
    </row>
    <row r="25" spans="12:24" ht="15" customHeight="1">
      <c r="W25">
        <f>1001*R25</f>
        <v>0</v>
      </c>
      <c r="X25">
        <f>2100*T25</f>
        <v>0</v>
      </c>
    </row>
    <row r="26" spans="12:24">
      <c r="W26">
        <f>2101*R26</f>
        <v>0</v>
      </c>
    </row>
  </sheetData>
  <mergeCells count="22">
    <mergeCell ref="A1:J1"/>
    <mergeCell ref="A2:J2"/>
    <mergeCell ref="A3:J3"/>
    <mergeCell ref="A4:F4"/>
    <mergeCell ref="G4:H4"/>
    <mergeCell ref="I4:J4"/>
    <mergeCell ref="A5:F5"/>
    <mergeCell ref="G5:H5"/>
    <mergeCell ref="I5:J5"/>
    <mergeCell ref="A9:F9"/>
    <mergeCell ref="G9:H9"/>
    <mergeCell ref="I9:J9"/>
    <mergeCell ref="G6:H6"/>
    <mergeCell ref="I6:J6"/>
    <mergeCell ref="A7:F7"/>
    <mergeCell ref="G7:H7"/>
    <mergeCell ref="I7:J7"/>
    <mergeCell ref="G8:H8"/>
    <mergeCell ref="I8:J8"/>
    <mergeCell ref="A10:F10"/>
    <mergeCell ref="G10:H10"/>
    <mergeCell ref="I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31E3-DCFD-48D4-8624-4AD69B46B1E7}">
  <dimension ref="A1:X18"/>
  <sheetViews>
    <sheetView topLeftCell="A2" workbookViewId="0">
      <selection activeCell="P18" sqref="P18"/>
    </sheetView>
  </sheetViews>
  <sheetFormatPr defaultRowHeight="15"/>
  <cols>
    <col min="4" max="4" width="32.28515625" customWidth="1"/>
    <col min="23" max="23" width="18.7109375" customWidth="1"/>
  </cols>
  <sheetData>
    <row r="1" spans="1:24" ht="18.75" customHeight="1">
      <c r="A1" s="82" t="s">
        <v>34</v>
      </c>
      <c r="B1" s="83"/>
      <c r="C1" s="83"/>
      <c r="D1" s="83"/>
      <c r="E1" s="83"/>
      <c r="F1" s="83"/>
      <c r="G1" s="83"/>
      <c r="H1" s="83"/>
      <c r="I1" s="83"/>
      <c r="J1" s="84"/>
      <c r="L1" s="82" t="s">
        <v>34</v>
      </c>
      <c r="M1" s="83"/>
      <c r="N1" s="83"/>
      <c r="O1" s="83"/>
      <c r="P1" s="83"/>
      <c r="Q1" s="83"/>
      <c r="R1" s="83"/>
      <c r="S1" s="83"/>
      <c r="T1" s="83"/>
      <c r="U1" s="84"/>
    </row>
    <row r="2" spans="1:24" ht="53.25" customHeigh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60"/>
      <c r="L2" s="58" t="s">
        <v>35</v>
      </c>
      <c r="M2" s="59"/>
      <c r="N2" s="59"/>
      <c r="O2" s="59"/>
      <c r="P2" s="59"/>
      <c r="Q2" s="59"/>
      <c r="R2" s="59"/>
      <c r="S2" s="59"/>
      <c r="T2" s="59"/>
      <c r="U2" s="60"/>
      <c r="W2" t="s">
        <v>36</v>
      </c>
      <c r="X2">
        <f>200000*6%</f>
        <v>12000</v>
      </c>
    </row>
    <row r="3" spans="1:24" ht="15.75" customHeight="1">
      <c r="A3" s="85" t="s">
        <v>37</v>
      </c>
      <c r="B3" s="86"/>
      <c r="C3" s="86"/>
      <c r="D3" s="86"/>
      <c r="E3" s="86"/>
      <c r="F3" s="86"/>
      <c r="G3" s="86"/>
      <c r="H3" s="86"/>
      <c r="I3" s="86"/>
      <c r="J3" s="87"/>
      <c r="L3" s="85" t="s">
        <v>38</v>
      </c>
      <c r="M3" s="86"/>
      <c r="N3" s="86"/>
      <c r="O3" s="86"/>
      <c r="P3" s="86"/>
      <c r="Q3" s="86"/>
      <c r="R3" s="86"/>
      <c r="S3" s="86"/>
      <c r="T3" s="86"/>
      <c r="U3" s="87"/>
    </row>
    <row r="4" spans="1:24">
      <c r="A4" s="112"/>
      <c r="B4" s="113"/>
      <c r="C4" s="113"/>
      <c r="D4" s="114"/>
      <c r="E4" s="70" t="s">
        <v>39</v>
      </c>
      <c r="F4" s="88"/>
      <c r="G4" s="89"/>
      <c r="H4" s="70" t="s">
        <v>40</v>
      </c>
      <c r="I4" s="88"/>
      <c r="J4" s="89"/>
      <c r="L4" s="108"/>
      <c r="M4" s="108"/>
      <c r="N4" s="108"/>
      <c r="O4" s="108"/>
      <c r="P4" s="109" t="s">
        <v>39</v>
      </c>
      <c r="Q4" s="109"/>
      <c r="R4" s="109"/>
      <c r="S4" s="109" t="s">
        <v>40</v>
      </c>
      <c r="T4" s="109"/>
      <c r="U4" s="109"/>
      <c r="X4">
        <f>200000*6%</f>
        <v>12000</v>
      </c>
    </row>
    <row r="5" spans="1:24" ht="39" customHeight="1">
      <c r="A5" s="74" t="s">
        <v>41</v>
      </c>
      <c r="B5" s="75"/>
      <c r="C5" s="75"/>
      <c r="D5" s="76"/>
      <c r="E5" s="115" t="s">
        <v>42</v>
      </c>
      <c r="F5" s="116"/>
      <c r="G5" s="117"/>
      <c r="H5" s="115" t="s">
        <v>42</v>
      </c>
      <c r="I5" s="116"/>
      <c r="J5" s="117"/>
      <c r="L5" s="71" t="s">
        <v>41</v>
      </c>
      <c r="M5" s="71"/>
      <c r="N5" s="71"/>
      <c r="O5" s="71"/>
      <c r="P5" s="111" t="s">
        <v>43</v>
      </c>
      <c r="Q5" s="111"/>
      <c r="R5" s="111"/>
      <c r="S5" s="110" t="s">
        <v>44</v>
      </c>
      <c r="T5" s="110"/>
      <c r="U5" s="110"/>
      <c r="W5" t="s">
        <v>45</v>
      </c>
      <c r="X5">
        <f>7000*5.5%</f>
        <v>385</v>
      </c>
    </row>
    <row r="6" spans="1:24">
      <c r="A6" s="130"/>
      <c r="B6" s="131"/>
      <c r="C6" s="131"/>
      <c r="D6" s="132"/>
      <c r="E6" s="118"/>
      <c r="F6" s="119"/>
      <c r="G6" s="120"/>
      <c r="H6" s="118"/>
      <c r="I6" s="119"/>
      <c r="J6" s="120"/>
      <c r="L6" s="71"/>
      <c r="M6" s="71"/>
      <c r="N6" s="71"/>
      <c r="O6" s="71"/>
      <c r="P6" s="111"/>
      <c r="Q6" s="111"/>
      <c r="R6" s="111"/>
      <c r="S6" s="110"/>
      <c r="T6" s="110"/>
      <c r="U6" s="110"/>
      <c r="X6">
        <f>X4+X5</f>
        <v>12385</v>
      </c>
    </row>
    <row r="7" spans="1:24">
      <c r="A7" s="90" t="s">
        <v>46</v>
      </c>
      <c r="B7" s="91"/>
      <c r="C7" s="91"/>
      <c r="D7" s="92"/>
      <c r="E7" s="90" t="s">
        <v>47</v>
      </c>
      <c r="F7" s="91"/>
      <c r="G7" s="92"/>
      <c r="H7" s="90" t="s">
        <v>47</v>
      </c>
      <c r="I7" s="91"/>
      <c r="J7" s="92"/>
      <c r="L7" s="71" t="s">
        <v>48</v>
      </c>
      <c r="M7" s="71"/>
      <c r="N7" s="71"/>
      <c r="O7" s="71"/>
      <c r="P7" s="106" t="s">
        <v>43</v>
      </c>
      <c r="Q7" s="107"/>
      <c r="R7" s="107"/>
      <c r="S7" s="71" t="s">
        <v>49</v>
      </c>
      <c r="T7" s="71"/>
      <c r="U7" s="71"/>
    </row>
    <row r="8" spans="1:24" ht="15" customHeight="1">
      <c r="A8" s="121" t="s">
        <v>50</v>
      </c>
      <c r="B8" s="122"/>
      <c r="C8" s="122"/>
      <c r="D8" s="123"/>
      <c r="E8" s="127">
        <v>300</v>
      </c>
      <c r="F8" s="128"/>
      <c r="G8" s="129"/>
      <c r="H8" s="124" t="s">
        <v>43</v>
      </c>
      <c r="I8" s="125"/>
      <c r="J8" s="126"/>
      <c r="L8" s="71"/>
      <c r="M8" s="71"/>
      <c r="N8" s="71"/>
      <c r="O8" s="71"/>
      <c r="P8" s="107"/>
      <c r="Q8" s="107"/>
      <c r="R8" s="107"/>
      <c r="S8" s="71"/>
      <c r="T8" s="71"/>
      <c r="U8" s="71"/>
    </row>
    <row r="9" spans="1:24" ht="15" customHeight="1">
      <c r="A9" s="121" t="s">
        <v>51</v>
      </c>
      <c r="B9" s="122"/>
      <c r="C9" s="122"/>
      <c r="D9" s="123"/>
      <c r="E9" s="90" t="s">
        <v>52</v>
      </c>
      <c r="F9" s="91"/>
      <c r="G9" s="91"/>
      <c r="H9" s="91"/>
      <c r="I9" s="91"/>
      <c r="J9" s="92"/>
    </row>
    <row r="11" spans="1:24" ht="18.75">
      <c r="A11" s="82" t="s">
        <v>34</v>
      </c>
      <c r="B11" s="83"/>
      <c r="C11" s="83"/>
      <c r="D11" s="83"/>
      <c r="E11" s="83"/>
      <c r="F11" s="83"/>
      <c r="G11" s="83"/>
      <c r="H11" s="83"/>
      <c r="I11" s="83"/>
      <c r="J11" s="84"/>
      <c r="L11" s="82" t="s">
        <v>53</v>
      </c>
      <c r="M11" s="83"/>
      <c r="N11" s="83"/>
      <c r="O11" s="83"/>
      <c r="P11" s="83"/>
      <c r="Q11" s="83"/>
      <c r="R11" s="83"/>
      <c r="S11" s="83"/>
      <c r="T11" s="83"/>
      <c r="U11" s="84"/>
    </row>
    <row r="12" spans="1:24" ht="53.25" customHeight="1">
      <c r="A12" s="58" t="s">
        <v>35</v>
      </c>
      <c r="B12" s="59"/>
      <c r="C12" s="59"/>
      <c r="D12" s="59"/>
      <c r="E12" s="59"/>
      <c r="F12" s="59"/>
      <c r="G12" s="59"/>
      <c r="H12" s="59"/>
      <c r="I12" s="59"/>
      <c r="J12" s="60"/>
      <c r="L12" s="58" t="s">
        <v>26</v>
      </c>
      <c r="M12" s="59"/>
      <c r="N12" s="59"/>
      <c r="O12" s="59"/>
      <c r="P12" s="59"/>
      <c r="Q12" s="59"/>
      <c r="R12" s="59"/>
      <c r="S12" s="59"/>
      <c r="T12" s="59"/>
      <c r="U12" s="60"/>
    </row>
    <row r="13" spans="1:24" ht="15.75" customHeight="1">
      <c r="A13" s="85" t="s">
        <v>54</v>
      </c>
      <c r="B13" s="86"/>
      <c r="C13" s="86"/>
      <c r="D13" s="86"/>
      <c r="E13" s="86"/>
      <c r="F13" s="86"/>
      <c r="G13" s="86"/>
      <c r="H13" s="86"/>
      <c r="I13" s="86"/>
      <c r="J13" s="87"/>
      <c r="L13" s="85" t="s">
        <v>3</v>
      </c>
      <c r="M13" s="95"/>
      <c r="N13" s="95"/>
      <c r="O13" s="95"/>
      <c r="P13" s="95"/>
      <c r="Q13" s="95"/>
      <c r="R13" s="96"/>
      <c r="S13" s="96"/>
      <c r="T13" s="96"/>
      <c r="U13" s="97"/>
    </row>
    <row r="14" spans="1:24">
      <c r="A14" s="98"/>
      <c r="B14" s="98"/>
      <c r="C14" s="98"/>
      <c r="D14" s="98"/>
      <c r="E14" s="69" t="s">
        <v>39</v>
      </c>
      <c r="F14" s="69"/>
      <c r="G14" s="69"/>
      <c r="H14" s="69" t="s">
        <v>40</v>
      </c>
      <c r="I14" s="69"/>
      <c r="J14" s="69"/>
      <c r="L14" s="69" t="s">
        <v>55</v>
      </c>
      <c r="M14" s="69"/>
      <c r="N14" s="69"/>
      <c r="O14" s="69"/>
      <c r="P14" s="69"/>
      <c r="Q14" s="69"/>
      <c r="R14" s="13"/>
      <c r="S14" s="14"/>
      <c r="T14" s="15" t="s">
        <v>29</v>
      </c>
      <c r="U14" s="14"/>
    </row>
    <row r="15" spans="1:24">
      <c r="A15" s="71" t="s">
        <v>41</v>
      </c>
      <c r="B15" s="71"/>
      <c r="C15" s="71"/>
      <c r="D15" s="71"/>
      <c r="E15" s="99">
        <v>130</v>
      </c>
      <c r="F15" s="99"/>
      <c r="G15" s="99"/>
      <c r="H15" s="99">
        <v>130</v>
      </c>
      <c r="I15" s="99"/>
      <c r="J15" s="99"/>
      <c r="L15" s="90" t="s">
        <v>56</v>
      </c>
      <c r="M15" s="91"/>
      <c r="N15" s="91"/>
      <c r="O15" s="91"/>
      <c r="P15" s="91"/>
      <c r="Q15" s="92"/>
      <c r="R15" s="93"/>
      <c r="S15" s="94"/>
      <c r="T15" s="93">
        <v>0.24</v>
      </c>
      <c r="U15" s="94"/>
    </row>
    <row r="16" spans="1:24" ht="45.75" customHeight="1">
      <c r="A16" s="71"/>
      <c r="B16" s="71"/>
      <c r="C16" s="71"/>
      <c r="D16" s="71"/>
      <c r="E16" s="99"/>
      <c r="F16" s="99"/>
      <c r="G16" s="99"/>
      <c r="H16" s="99"/>
      <c r="I16" s="99"/>
      <c r="J16" s="99"/>
      <c r="L16" s="142" t="s">
        <v>57</v>
      </c>
      <c r="M16" s="143"/>
      <c r="N16" s="143"/>
      <c r="O16" s="143"/>
      <c r="P16" s="143"/>
      <c r="Q16" s="144"/>
      <c r="R16" s="145"/>
      <c r="S16" s="146"/>
      <c r="T16" s="145">
        <v>0.28000000000000003</v>
      </c>
      <c r="U16" s="146"/>
    </row>
    <row r="17" spans="1:10">
      <c r="A17" s="71" t="s">
        <v>51</v>
      </c>
      <c r="B17" s="71"/>
      <c r="C17" s="71"/>
      <c r="D17" s="71"/>
      <c r="E17" s="100">
        <v>35</v>
      </c>
      <c r="F17" s="101"/>
      <c r="G17" s="101"/>
      <c r="H17" s="101"/>
      <c r="I17" s="101"/>
      <c r="J17" s="102"/>
    </row>
    <row r="18" spans="1:10">
      <c r="A18" s="71"/>
      <c r="B18" s="71"/>
      <c r="C18" s="71"/>
      <c r="D18" s="71"/>
      <c r="E18" s="103"/>
      <c r="F18" s="104"/>
      <c r="G18" s="104"/>
      <c r="H18" s="104"/>
      <c r="I18" s="104"/>
      <c r="J18" s="105"/>
    </row>
  </sheetData>
  <mergeCells count="50">
    <mergeCell ref="A7:D7"/>
    <mergeCell ref="E7:G7"/>
    <mergeCell ref="H7:J7"/>
    <mergeCell ref="A5:D6"/>
    <mergeCell ref="E5:G6"/>
    <mergeCell ref="A9:D9"/>
    <mergeCell ref="H8:J8"/>
    <mergeCell ref="A8:D8"/>
    <mergeCell ref="E8:G8"/>
    <mergeCell ref="E9:J9"/>
    <mergeCell ref="A1:J1"/>
    <mergeCell ref="A2:J2"/>
    <mergeCell ref="A3:J3"/>
    <mergeCell ref="L5:O6"/>
    <mergeCell ref="P5:R6"/>
    <mergeCell ref="A4:D4"/>
    <mergeCell ref="E4:G4"/>
    <mergeCell ref="H4:J4"/>
    <mergeCell ref="H5:J6"/>
    <mergeCell ref="L7:O8"/>
    <mergeCell ref="P7:R8"/>
    <mergeCell ref="S7:U8"/>
    <mergeCell ref="L1:U1"/>
    <mergeCell ref="L2:U2"/>
    <mergeCell ref="L3:U3"/>
    <mergeCell ref="L4:O4"/>
    <mergeCell ref="P4:R4"/>
    <mergeCell ref="S4:U4"/>
    <mergeCell ref="S5:U6"/>
    <mergeCell ref="A15:D16"/>
    <mergeCell ref="E15:G16"/>
    <mergeCell ref="H15:J16"/>
    <mergeCell ref="A17:D18"/>
    <mergeCell ref="E17:J18"/>
    <mergeCell ref="A11:J11"/>
    <mergeCell ref="A12:J12"/>
    <mergeCell ref="A13:J13"/>
    <mergeCell ref="A14:D14"/>
    <mergeCell ref="E14:G14"/>
    <mergeCell ref="H14:J14"/>
    <mergeCell ref="L16:Q16"/>
    <mergeCell ref="T16:U16"/>
    <mergeCell ref="R16:S16"/>
    <mergeCell ref="R15:S15"/>
    <mergeCell ref="L11:U11"/>
    <mergeCell ref="L14:Q14"/>
    <mergeCell ref="L12:U12"/>
    <mergeCell ref="L13:U13"/>
    <mergeCell ref="T15:U15"/>
    <mergeCell ref="L15:Q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77D5-169C-4891-B2FD-3677188E8DE3}">
  <dimension ref="A1:N12"/>
  <sheetViews>
    <sheetView workbookViewId="0">
      <selection activeCell="L6" sqref="L6"/>
    </sheetView>
  </sheetViews>
  <sheetFormatPr defaultRowHeight="15"/>
  <cols>
    <col min="12" max="12" width="13.5703125" bestFit="1" customWidth="1"/>
    <col min="14" max="14" width="13.5703125" bestFit="1" customWidth="1"/>
  </cols>
  <sheetData>
    <row r="1" spans="1:14" ht="18.75">
      <c r="A1" s="52" t="s">
        <v>58</v>
      </c>
      <c r="B1" s="53"/>
      <c r="C1" s="53"/>
      <c r="D1" s="53"/>
      <c r="E1" s="53"/>
      <c r="F1" s="53"/>
      <c r="G1" s="53"/>
      <c r="H1" s="53"/>
      <c r="I1" s="53"/>
      <c r="J1" s="54"/>
    </row>
    <row r="2" spans="1:14" ht="53.25" customHeigh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60"/>
    </row>
    <row r="3" spans="1:14" ht="15.75">
      <c r="A3" s="55" t="s">
        <v>59</v>
      </c>
      <c r="B3" s="56"/>
      <c r="C3" s="56"/>
      <c r="D3" s="56"/>
      <c r="E3" s="56"/>
      <c r="F3" s="56"/>
      <c r="G3" s="56"/>
      <c r="H3" s="56"/>
      <c r="I3" s="56"/>
      <c r="J3" s="57"/>
    </row>
    <row r="4" spans="1:14">
      <c r="A4" s="134"/>
      <c r="B4" s="136"/>
      <c r="C4" s="136"/>
      <c r="D4" s="136"/>
      <c r="E4" s="136"/>
      <c r="F4" s="135"/>
      <c r="G4" s="134" t="s">
        <v>5</v>
      </c>
      <c r="H4" s="135"/>
      <c r="I4" s="134" t="s">
        <v>6</v>
      </c>
      <c r="J4" s="135"/>
    </row>
    <row r="5" spans="1:14">
      <c r="A5" s="90" t="s">
        <v>60</v>
      </c>
      <c r="B5" s="91"/>
      <c r="C5" s="91"/>
      <c r="D5" s="91"/>
      <c r="E5" s="91"/>
      <c r="F5" s="92"/>
      <c r="G5" s="93">
        <f>I5/1.085</f>
        <v>5.9907834101382493E-2</v>
      </c>
      <c r="H5" s="94"/>
      <c r="I5" s="93">
        <v>6.5000000000000002E-2</v>
      </c>
      <c r="J5" s="94"/>
    </row>
    <row r="7" spans="1:14">
      <c r="H7" s="10"/>
      <c r="L7" s="7"/>
      <c r="N7" s="7"/>
    </row>
    <row r="8" spans="1:14">
      <c r="L8" s="7"/>
      <c r="N8" s="9"/>
    </row>
    <row r="9" spans="1:14">
      <c r="L9" s="7"/>
    </row>
    <row r="10" spans="1:14">
      <c r="L10" s="7"/>
    </row>
    <row r="12" spans="1:14">
      <c r="J12" s="133"/>
      <c r="K12" s="133"/>
      <c r="L12" s="7"/>
      <c r="N12" s="7"/>
    </row>
  </sheetData>
  <mergeCells count="10">
    <mergeCell ref="J12:K12"/>
    <mergeCell ref="A1:J1"/>
    <mergeCell ref="A2:J2"/>
    <mergeCell ref="I5:J5"/>
    <mergeCell ref="A3:J3"/>
    <mergeCell ref="I4:J4"/>
    <mergeCell ref="G4:H4"/>
    <mergeCell ref="G5:H5"/>
    <mergeCell ref="A5:F5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0658-E8CD-4ADB-9C04-CE32403AA29F}">
  <dimension ref="A1:J13"/>
  <sheetViews>
    <sheetView workbookViewId="0">
      <selection activeCell="I16" sqref="I16"/>
    </sheetView>
  </sheetViews>
  <sheetFormatPr defaultRowHeight="15"/>
  <sheetData>
    <row r="1" spans="1:10" ht="18.75">
      <c r="A1" s="52" t="s">
        <v>61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53.25" customHeigh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15.75">
      <c r="A3" s="55" t="s">
        <v>59</v>
      </c>
      <c r="B3" s="56"/>
      <c r="C3" s="56"/>
      <c r="D3" s="56"/>
      <c r="E3" s="56"/>
      <c r="F3" s="56"/>
      <c r="G3" s="56"/>
      <c r="H3" s="56"/>
      <c r="I3" s="56"/>
      <c r="J3" s="57"/>
    </row>
    <row r="4" spans="1:10">
      <c r="A4" s="30" t="s">
        <v>62</v>
      </c>
      <c r="B4" s="39"/>
      <c r="C4" s="39"/>
      <c r="D4" s="39"/>
      <c r="E4" s="39"/>
      <c r="F4" s="31"/>
      <c r="G4" s="30" t="s">
        <v>5</v>
      </c>
      <c r="H4" s="31"/>
      <c r="I4" s="30" t="s">
        <v>6</v>
      </c>
      <c r="J4" s="31"/>
    </row>
    <row r="5" spans="1:10">
      <c r="A5" s="98" t="s">
        <v>63</v>
      </c>
      <c r="B5" s="98"/>
      <c r="C5" s="98"/>
      <c r="D5" s="98"/>
      <c r="E5" s="98"/>
      <c r="F5" s="98"/>
      <c r="G5" s="98"/>
      <c r="H5" s="98"/>
      <c r="I5" s="98"/>
      <c r="J5" s="98"/>
    </row>
    <row r="6" spans="1:10">
      <c r="A6" s="139" t="s">
        <v>64</v>
      </c>
      <c r="B6" s="139"/>
      <c r="C6" s="139"/>
      <c r="D6" s="139"/>
      <c r="E6" s="139"/>
      <c r="F6" s="139"/>
      <c r="G6" s="137">
        <f>I6/1.085</f>
        <v>184.33179723502306</v>
      </c>
      <c r="H6" s="92"/>
      <c r="I6" s="137">
        <v>200</v>
      </c>
      <c r="J6" s="138"/>
    </row>
    <row r="7" spans="1:10">
      <c r="A7" s="107" t="s">
        <v>65</v>
      </c>
      <c r="B7" s="107"/>
      <c r="C7" s="107"/>
      <c r="D7" s="107"/>
      <c r="E7" s="107"/>
      <c r="F7" s="107"/>
      <c r="G7" s="137">
        <f>I7/1.085</f>
        <v>225.80645161290323</v>
      </c>
      <c r="H7" s="92"/>
      <c r="I7" s="137">
        <v>245</v>
      </c>
      <c r="J7" s="138"/>
    </row>
    <row r="8" spans="1:10">
      <c r="A8" s="140" t="s">
        <v>66</v>
      </c>
      <c r="B8" s="140"/>
      <c r="C8" s="140"/>
      <c r="D8" s="140"/>
      <c r="E8" s="140"/>
      <c r="F8" s="140"/>
      <c r="G8" s="141"/>
      <c r="H8" s="141"/>
      <c r="I8" s="141"/>
      <c r="J8" s="141"/>
    </row>
    <row r="9" spans="1:10">
      <c r="A9" s="139" t="s">
        <v>64</v>
      </c>
      <c r="B9" s="139"/>
      <c r="C9" s="139"/>
      <c r="D9" s="139"/>
      <c r="E9" s="139"/>
      <c r="F9" s="139"/>
      <c r="G9" s="137">
        <f>I9/1.085</f>
        <v>129.03225806451613</v>
      </c>
      <c r="H9" s="92"/>
      <c r="I9" s="137">
        <v>140</v>
      </c>
      <c r="J9" s="138"/>
    </row>
    <row r="10" spans="1:10">
      <c r="A10" s="107" t="s">
        <v>65</v>
      </c>
      <c r="B10" s="107"/>
      <c r="C10" s="107"/>
      <c r="D10" s="107"/>
      <c r="E10" s="107"/>
      <c r="F10" s="107"/>
      <c r="G10" s="137">
        <f>I10/1.085</f>
        <v>216.58986175115209</v>
      </c>
      <c r="H10" s="92"/>
      <c r="I10" s="137">
        <v>235</v>
      </c>
      <c r="J10" s="138"/>
    </row>
    <row r="11" spans="1:10" ht="15.75" customHeight="1"/>
    <row r="12" spans="1:10" ht="15" customHeight="1"/>
    <row r="13" spans="1:10" ht="15" customHeight="1"/>
  </sheetData>
  <mergeCells count="20">
    <mergeCell ref="A5:J5"/>
    <mergeCell ref="G6:H6"/>
    <mergeCell ref="G7:H7"/>
    <mergeCell ref="A1:J1"/>
    <mergeCell ref="A2:J2"/>
    <mergeCell ref="A4:F4"/>
    <mergeCell ref="G4:H4"/>
    <mergeCell ref="I4:J4"/>
    <mergeCell ref="A3:J3"/>
    <mergeCell ref="I6:J6"/>
    <mergeCell ref="I7:J7"/>
    <mergeCell ref="I9:J9"/>
    <mergeCell ref="I10:J10"/>
    <mergeCell ref="A7:F7"/>
    <mergeCell ref="A6:F6"/>
    <mergeCell ref="A9:F9"/>
    <mergeCell ref="A10:F10"/>
    <mergeCell ref="A8:J8"/>
    <mergeCell ref="G9:H9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2022-10-31T08:04:09Z</dcterms:created>
  <dcterms:modified xsi:type="dcterms:W3CDTF">2023-11-06T15:38:08Z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7f3165-8a52-429a-ab2a-1fd572a4c07f_Enabled">
    <vt:lpwstr>true</vt:lpwstr>
  </property>
  <property fmtid="{D5CDD505-2E9C-101B-9397-08002B2CF9AE}" pid="3" name="MSIP_Label_e17f3165-8a52-429a-ab2a-1fd572a4c07f_SetDate">
    <vt:lpwstr>2023-07-06T11:57:37Z</vt:lpwstr>
  </property>
  <property fmtid="{D5CDD505-2E9C-101B-9397-08002B2CF9AE}" pid="4" name="MSIP_Label_e17f3165-8a52-429a-ab2a-1fd572a4c07f_Method">
    <vt:lpwstr>Standard</vt:lpwstr>
  </property>
  <property fmtid="{D5CDD505-2E9C-101B-9397-08002B2CF9AE}" pid="5" name="MSIP_Label_e17f3165-8a52-429a-ab2a-1fd572a4c07f_Name">
    <vt:lpwstr>defa4170-0d19-0005-0004-bc88714345d2</vt:lpwstr>
  </property>
  <property fmtid="{D5CDD505-2E9C-101B-9397-08002B2CF9AE}" pid="6" name="MSIP_Label_e17f3165-8a52-429a-ab2a-1fd572a4c07f_SiteId">
    <vt:lpwstr>6b3a59c1-9475-4729-b8d9-f72ffd0dd0cd</vt:lpwstr>
  </property>
  <property fmtid="{D5CDD505-2E9C-101B-9397-08002B2CF9AE}" pid="7" name="MSIP_Label_e17f3165-8a52-429a-ab2a-1fd572a4c07f_ActionId">
    <vt:lpwstr>ffcd4b17-808d-4648-803f-4e74297e68de</vt:lpwstr>
  </property>
  <property fmtid="{D5CDD505-2E9C-101B-9397-08002B2CF9AE}" pid="8" name="MSIP_Label_e17f3165-8a52-429a-ab2a-1fd572a4c07f_ContentBits">
    <vt:lpwstr>0</vt:lpwstr>
  </property>
</Properties>
</file>